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355" windowHeight="6150" activeTab="1"/>
  </bookViews>
  <sheets>
    <sheet name="OddsRatio or RelativeRisk" sheetId="1" r:id="rId1"/>
    <sheet name="Difference" sheetId="2" r:id="rId2"/>
    <sheet name="Examples" sheetId="3" r:id="rId3"/>
  </sheets>
  <definedNames/>
  <calcPr fullCalcOnLoad="1"/>
</workbook>
</file>

<file path=xl/sharedStrings.xml><?xml version="1.0" encoding="utf-8"?>
<sst xmlns="http://schemas.openxmlformats.org/spreadsheetml/2006/main" count="195" uniqueCount="80">
  <si>
    <t>LCL</t>
  </si>
  <si>
    <t>UCL</t>
  </si>
  <si>
    <t>Prob OR &gt;</t>
  </si>
  <si>
    <t>=</t>
  </si>
  <si>
    <t>Conf</t>
  </si>
  <si>
    <t>Prob Diff &gt;</t>
  </si>
  <si>
    <t>Posterior Probability Calculator</t>
  </si>
  <si>
    <t>Examples</t>
  </si>
  <si>
    <t>ETS report</t>
  </si>
  <si>
    <t>GW's Reanalysis</t>
  </si>
  <si>
    <t>Georgia</t>
  </si>
  <si>
    <t>Florida</t>
  </si>
  <si>
    <t>Illinois</t>
  </si>
  <si>
    <t>SE</t>
  </si>
  <si>
    <t>GW: VM Plea Not Offered</t>
  </si>
  <si>
    <t>GW: Prosecution Seeks DP</t>
  </si>
  <si>
    <t>G&amp;M: DP of Charged</t>
  </si>
  <si>
    <t>GW: Jury Returns DP</t>
  </si>
  <si>
    <t>B,P&amp;W: DP of Guilty</t>
  </si>
  <si>
    <t>StdErr</t>
  </si>
  <si>
    <t xml:space="preserve"> </t>
  </si>
  <si>
    <r>
      <t>p</t>
    </r>
    <r>
      <rPr>
        <sz val="10"/>
        <rFont val="Arial"/>
        <family val="0"/>
      </rPr>
      <t xml:space="preserve">-value   </t>
    </r>
  </si>
  <si>
    <r>
      <t>p</t>
    </r>
    <r>
      <rPr>
        <sz val="10"/>
        <rFont val="Arial"/>
        <family val="0"/>
      </rPr>
      <t>-value</t>
    </r>
  </si>
  <si>
    <t>sign</t>
  </si>
  <si>
    <t>+</t>
  </si>
  <si>
    <t>Instructions:  Use one of these three calculators</t>
  </si>
  <si>
    <t>depending on the data you have.  Enter data in</t>
  </si>
  <si>
    <t>yellow spaces and see results in pink spaces.</t>
  </si>
  <si>
    <t>Difference and Confidence Interval</t>
  </si>
  <si>
    <t>Difference and Standard Error</t>
  </si>
  <si>
    <t>Odds Ratio and Confidence Interval</t>
  </si>
  <si>
    <t>Logistic Coefficient and Standard Error</t>
  </si>
  <si>
    <t>Coefficient</t>
  </si>
  <si>
    <t>OR</t>
  </si>
  <si>
    <r>
      <t xml:space="preserve">Odds Ratio and exact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-value</t>
    </r>
  </si>
  <si>
    <r>
      <t xml:space="preserve">Difference and Exact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-value</t>
    </r>
  </si>
  <si>
    <t>Diff</t>
  </si>
  <si>
    <t>p-value</t>
  </si>
  <si>
    <r>
      <t>p</t>
    </r>
    <r>
      <rPr>
        <sz val="10"/>
        <rFont val="Arial"/>
        <family val="0"/>
      </rPr>
      <t>-value and Sign of Difference (+ or -)</t>
    </r>
  </si>
  <si>
    <t>lcl</t>
  </si>
  <si>
    <t>ucl</t>
  </si>
  <si>
    <t>Sig</t>
  </si>
  <si>
    <t>Logistic Coeff</t>
  </si>
  <si>
    <t>Second Hand Smoke / Lung Cancer</t>
  </si>
  <si>
    <t>White Victim / Death Penalty</t>
  </si>
  <si>
    <t>Black Defendant / Death Penalty</t>
  </si>
  <si>
    <t>North Carolina</t>
  </si>
  <si>
    <t>Prob OR &lt;</t>
  </si>
  <si>
    <t>Prob Diff &lt;</t>
  </si>
  <si>
    <t>OR or RR</t>
  </si>
  <si>
    <t>Mean #1</t>
  </si>
  <si>
    <t>SE #1</t>
  </si>
  <si>
    <t>Mean #2</t>
  </si>
  <si>
    <t>SE #2</t>
  </si>
  <si>
    <t>Calorie Restriction and Life</t>
  </si>
  <si>
    <t>Unrestricted</t>
  </si>
  <si>
    <t>Male DBA/2f Mice</t>
  </si>
  <si>
    <t>Calorie Restricted</t>
  </si>
  <si>
    <t>Protein Restricted</t>
  </si>
  <si>
    <t xml:space="preserve">Mean </t>
  </si>
  <si>
    <t>Mean</t>
  </si>
  <si>
    <t>SEM</t>
  </si>
  <si>
    <t>Means +/- Standard Errors (SEM)</t>
  </si>
  <si>
    <t>Instructions:  Use one of these five calculators</t>
  </si>
  <si>
    <r>
      <t xml:space="preserve">Ratio and Exact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-value</t>
    </r>
  </si>
  <si>
    <t>Ratio</t>
  </si>
  <si>
    <t>RR or OR and Confidence Interval</t>
  </si>
  <si>
    <t>Prob Ratio &lt;</t>
  </si>
  <si>
    <t>Prob Ratio &gt;</t>
  </si>
  <si>
    <t>Logistic Regression Coeff. and Standard Error</t>
  </si>
  <si>
    <t>Coeff</t>
  </si>
  <si>
    <t>Prob Ratio&gt;</t>
  </si>
  <si>
    <t>Raw Data</t>
  </si>
  <si>
    <t>Sample #1</t>
  </si>
  <si>
    <t>Hits #1</t>
  </si>
  <si>
    <t>Sample #2</t>
  </si>
  <si>
    <t>Hits #2</t>
  </si>
  <si>
    <r>
      <t>p</t>
    </r>
    <r>
      <rPr>
        <sz val="10"/>
        <rFont val="Arial"/>
        <family val="0"/>
      </rPr>
      <t>-value and Sign of Ratio-1 (+ or -)</t>
    </r>
  </si>
  <si>
    <t>Difference of two Means</t>
  </si>
  <si>
    <t>Ratio of two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</si>
</sst>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4" borderId="0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5" fontId="0" fillId="3" borderId="3" xfId="0" applyNumberForma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4" borderId="19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workbookViewId="0" topLeftCell="A1">
      <selection activeCell="E34" sqref="E34"/>
    </sheetView>
  </sheetViews>
  <sheetFormatPr defaultColWidth="9.140625" defaultRowHeight="12.75"/>
  <cols>
    <col min="1" max="1" width="11.8515625" style="0" customWidth="1"/>
    <col min="2" max="2" width="11.8515625" style="1" customWidth="1"/>
    <col min="3" max="5" width="9.140625" style="1" customWidth="1"/>
    <col min="6" max="6" width="26.57421875" style="59" customWidth="1"/>
  </cols>
  <sheetData>
    <row r="1" ht="13.5" thickBot="1"/>
    <row r="2" spans="2:5" ht="12.75">
      <c r="B2" s="78" t="s">
        <v>25</v>
      </c>
      <c r="C2" s="79"/>
      <c r="D2" s="79"/>
      <c r="E2" s="80"/>
    </row>
    <row r="3" spans="2:5" ht="12.75">
      <c r="B3" s="81" t="s">
        <v>26</v>
      </c>
      <c r="C3" s="82"/>
      <c r="D3" s="82"/>
      <c r="E3" s="83"/>
    </row>
    <row r="4" spans="2:5" ht="13.5" thickBot="1">
      <c r="B4" s="84" t="s">
        <v>27</v>
      </c>
      <c r="C4" s="85"/>
      <c r="D4" s="85"/>
      <c r="E4" s="86"/>
    </row>
    <row r="5" ht="13.5" thickBot="1"/>
    <row r="6" spans="2:5" ht="12.75">
      <c r="B6" s="75" t="s">
        <v>30</v>
      </c>
      <c r="C6" s="76"/>
      <c r="D6" s="76"/>
      <c r="E6" s="77"/>
    </row>
    <row r="7" spans="2:5" ht="12.75">
      <c r="B7" s="15" t="s">
        <v>49</v>
      </c>
      <c r="C7" s="13" t="s">
        <v>0</v>
      </c>
      <c r="D7" s="13" t="s">
        <v>1</v>
      </c>
      <c r="E7" s="16" t="s">
        <v>4</v>
      </c>
    </row>
    <row r="8" spans="2:6" ht="12.75">
      <c r="B8" s="29">
        <v>1.45</v>
      </c>
      <c r="C8" s="30">
        <v>0.689</v>
      </c>
      <c r="D8" s="30">
        <v>18.398</v>
      </c>
      <c r="E8" s="35">
        <v>0.95</v>
      </c>
      <c r="F8" s="59" t="str">
        <f>IF(AND(C8&lt;B8,B8&lt;D8),"OK","Data Error: OR not in Interval")</f>
        <v>OK</v>
      </c>
    </row>
    <row r="9" spans="2:5" ht="12.75" hidden="1">
      <c r="B9" s="36">
        <f>LN(B8)</f>
        <v>0.371563556432483</v>
      </c>
      <c r="C9" s="27">
        <f>LN(D8/C8)/(2*E9)</f>
        <v>0.8379638613870752</v>
      </c>
      <c r="D9" s="27"/>
      <c r="E9" s="16">
        <f>NORMSINV(1-(1-E8)/2)</f>
        <v>1.9599627874084047</v>
      </c>
    </row>
    <row r="10" spans="2:5" ht="12.75">
      <c r="B10" s="36"/>
      <c r="C10" s="27"/>
      <c r="D10" s="27"/>
      <c r="E10" s="16"/>
    </row>
    <row r="11" spans="2:5" ht="12.75">
      <c r="B11" s="72" t="s">
        <v>6</v>
      </c>
      <c r="C11" s="73"/>
      <c r="D11" s="73"/>
      <c r="E11" s="74"/>
    </row>
    <row r="12" spans="2:5" ht="12.75">
      <c r="B12" s="15" t="s">
        <v>47</v>
      </c>
      <c r="C12" s="51">
        <v>1.5</v>
      </c>
      <c r="D12" s="13" t="s">
        <v>3</v>
      </c>
      <c r="E12" s="50">
        <f>IF(F8="OK",NORMSDIST((LN(C12)-B9)/C9),"ERROR")</f>
        <v>0.5161356910709429</v>
      </c>
    </row>
    <row r="13" spans="2:7" ht="13.5" thickBot="1">
      <c r="B13" s="20" t="s">
        <v>2</v>
      </c>
      <c r="C13" s="49">
        <v>1</v>
      </c>
      <c r="D13" s="22" t="s">
        <v>3</v>
      </c>
      <c r="E13" s="38">
        <f>IF(F8="OK",1-NORMSDIST((LN(C13)-B9)/C9),"ERROR")</f>
        <v>0.6712662368751149</v>
      </c>
      <c r="G13" s="1"/>
    </row>
    <row r="14" spans="2:7" ht="12.75">
      <c r="B14" s="13"/>
      <c r="C14" s="26"/>
      <c r="D14" s="41"/>
      <c r="E14" s="42"/>
      <c r="G14" s="1"/>
    </row>
    <row r="15" spans="3:7" ht="13.5" thickBot="1">
      <c r="C15" s="3"/>
      <c r="D15" s="3"/>
      <c r="E15" s="2"/>
      <c r="G15" s="1"/>
    </row>
    <row r="16" spans="2:7" ht="12.75">
      <c r="B16" s="75" t="s">
        <v>31</v>
      </c>
      <c r="C16" s="76"/>
      <c r="D16" s="76"/>
      <c r="E16" s="77"/>
      <c r="G16" s="1"/>
    </row>
    <row r="17" spans="2:7" ht="12.75">
      <c r="B17" s="15" t="s">
        <v>32</v>
      </c>
      <c r="C17" s="13" t="s">
        <v>19</v>
      </c>
      <c r="D17" s="13"/>
      <c r="E17" s="16"/>
      <c r="G17" s="1"/>
    </row>
    <row r="18" spans="2:8" ht="12.75">
      <c r="B18" s="29">
        <v>-0.0638</v>
      </c>
      <c r="C18" s="30">
        <v>0.4801</v>
      </c>
      <c r="D18" s="23"/>
      <c r="E18" s="24"/>
      <c r="G18" s="1"/>
      <c r="H18" t="s">
        <v>20</v>
      </c>
    </row>
    <row r="19" spans="2:7" ht="12.75">
      <c r="B19" s="36" t="s">
        <v>33</v>
      </c>
      <c r="C19" s="27" t="s">
        <v>0</v>
      </c>
      <c r="D19" s="27" t="s">
        <v>1</v>
      </c>
      <c r="E19" s="16" t="s">
        <v>20</v>
      </c>
      <c r="G19" s="1"/>
    </row>
    <row r="20" spans="2:7" ht="12.75">
      <c r="B20" s="39">
        <f>EXP(B18)</f>
        <v>0.9381926192919864</v>
      </c>
      <c r="C20" s="40">
        <f>EXP(B18-1.96*C18)</f>
        <v>0.3661193155266901</v>
      </c>
      <c r="D20" s="40">
        <f>EXP(B18+1.96*C18)</f>
        <v>2.4041490125363003</v>
      </c>
      <c r="E20" s="37"/>
      <c r="G20" s="1"/>
    </row>
    <row r="21" spans="2:7" ht="12.75">
      <c r="B21" s="55"/>
      <c r="C21" s="56"/>
      <c r="D21" s="56"/>
      <c r="E21" s="37"/>
      <c r="G21" s="1"/>
    </row>
    <row r="22" spans="2:7" ht="12.75">
      <c r="B22" s="72" t="s">
        <v>6</v>
      </c>
      <c r="C22" s="73"/>
      <c r="D22" s="73"/>
      <c r="E22" s="74"/>
      <c r="G22" s="1"/>
    </row>
    <row r="23" spans="2:7" ht="12.75">
      <c r="B23" s="15" t="s">
        <v>47</v>
      </c>
      <c r="C23" s="51">
        <v>1</v>
      </c>
      <c r="D23" s="13"/>
      <c r="E23" s="50">
        <f>NORMSDIST((LN(C23)-B18)/C18)</f>
        <v>0.5528594432665048</v>
      </c>
      <c r="G23" s="1"/>
    </row>
    <row r="24" spans="2:7" ht="13.5" thickBot="1">
      <c r="B24" s="20" t="s">
        <v>2</v>
      </c>
      <c r="C24" s="49">
        <v>1</v>
      </c>
      <c r="D24" s="22" t="s">
        <v>3</v>
      </c>
      <c r="E24" s="38">
        <f>1-NORMSDIST((LN(C24)-B18)/C18)</f>
        <v>0.4471405567334952</v>
      </c>
      <c r="G24" s="1"/>
    </row>
    <row r="25" ht="12.75">
      <c r="G25" s="1"/>
    </row>
    <row r="26" ht="13.5" thickBot="1">
      <c r="G26" s="1"/>
    </row>
    <row r="27" spans="2:7" ht="12.75">
      <c r="B27" s="75" t="s">
        <v>34</v>
      </c>
      <c r="C27" s="76"/>
      <c r="D27" s="76"/>
      <c r="E27" s="77"/>
      <c r="G27" s="1"/>
    </row>
    <row r="28" spans="2:7" ht="12.75">
      <c r="B28" s="15" t="s">
        <v>33</v>
      </c>
      <c r="C28" s="43" t="s">
        <v>22</v>
      </c>
      <c r="D28" s="13" t="s">
        <v>0</v>
      </c>
      <c r="E28" s="16" t="s">
        <v>1</v>
      </c>
      <c r="G28" s="1"/>
    </row>
    <row r="29" spans="2:7" ht="12.75">
      <c r="B29" s="29">
        <v>0.7</v>
      </c>
      <c r="C29" s="30">
        <v>0.13</v>
      </c>
      <c r="D29" s="44">
        <f>B29*EXP(-1.96*C30)</f>
        <v>0.44114156339973765</v>
      </c>
      <c r="E29" s="45">
        <f>B29*EXP(1.96*C30)</f>
        <v>1.1107545528553824</v>
      </c>
      <c r="G29" s="1"/>
    </row>
    <row r="30" spans="2:7" ht="12.75" hidden="1">
      <c r="B30" s="36"/>
      <c r="C30" s="27">
        <f>ABS(LN(B29))/NORMSINV(1-C29/2)</f>
        <v>0.235568625339898</v>
      </c>
      <c r="D30" s="27"/>
      <c r="E30" s="28"/>
      <c r="G30" s="1"/>
    </row>
    <row r="31" spans="2:7" ht="12.75">
      <c r="B31" s="52"/>
      <c r="C31" s="53"/>
      <c r="D31" s="53"/>
      <c r="E31" s="54"/>
      <c r="G31" s="1"/>
    </row>
    <row r="32" spans="2:7" ht="12.75">
      <c r="B32" s="72" t="s">
        <v>6</v>
      </c>
      <c r="C32" s="73"/>
      <c r="D32" s="73"/>
      <c r="E32" s="74"/>
      <c r="G32" s="1"/>
    </row>
    <row r="33" spans="2:7" ht="12.75">
      <c r="B33" s="15" t="s">
        <v>2</v>
      </c>
      <c r="C33" s="51">
        <v>1</v>
      </c>
      <c r="D33" s="41" t="s">
        <v>3</v>
      </c>
      <c r="E33" s="50">
        <f>NORMSDIST((LN(C33)-LN(B29)/C30))</f>
        <v>0.935</v>
      </c>
      <c r="G33" s="1"/>
    </row>
    <row r="34" spans="2:7" ht="13.5" thickBot="1">
      <c r="B34" s="20" t="s">
        <v>2</v>
      </c>
      <c r="C34" s="21">
        <v>1</v>
      </c>
      <c r="D34" s="22" t="s">
        <v>3</v>
      </c>
      <c r="E34" s="38">
        <f>1-NORMSDIST((LN(C34)-LN(B29)/C30))</f>
        <v>0.06499999999999995</v>
      </c>
      <c r="G34" s="1"/>
    </row>
    <row r="35" spans="3:7" ht="12.75">
      <c r="C35" s="3"/>
      <c r="D35" s="3"/>
      <c r="E35" s="2"/>
      <c r="G35" s="1"/>
    </row>
    <row r="36" spans="3:7" ht="12.75">
      <c r="C36" s="3"/>
      <c r="D36" s="3"/>
      <c r="E36" s="2"/>
      <c r="G36" s="1"/>
    </row>
    <row r="37" spans="3:7" ht="12.75">
      <c r="C37" s="3"/>
      <c r="D37" s="3"/>
      <c r="E37" s="2"/>
      <c r="G37" s="1"/>
    </row>
    <row r="38" spans="3:7" ht="12.75">
      <c r="C38" s="3"/>
      <c r="D38" s="3"/>
      <c r="E38" s="2"/>
      <c r="G38" s="1"/>
    </row>
    <row r="39" spans="3:7" ht="12.75">
      <c r="C39" s="3"/>
      <c r="D39" s="3"/>
      <c r="E39" s="2"/>
      <c r="G39" s="1"/>
    </row>
    <row r="40" spans="3:7" ht="12.75">
      <c r="C40" s="3"/>
      <c r="D40" s="3"/>
      <c r="E40" s="2"/>
      <c r="G40" s="1"/>
    </row>
    <row r="41" spans="3:7" ht="12.75">
      <c r="C41" s="3"/>
      <c r="D41" s="3"/>
      <c r="E41" s="2"/>
      <c r="G41" s="1"/>
    </row>
    <row r="42" spans="3:7" ht="12.75">
      <c r="C42" s="3"/>
      <c r="D42" s="3"/>
      <c r="E42" s="2"/>
      <c r="G42" s="1"/>
    </row>
    <row r="43" spans="3:7" ht="12.75">
      <c r="C43" s="3"/>
      <c r="D43" s="3"/>
      <c r="E43" s="2"/>
      <c r="G43" s="1"/>
    </row>
    <row r="44" spans="3:7" ht="12.75">
      <c r="C44" s="3"/>
      <c r="D44" s="3"/>
      <c r="E44" s="2"/>
      <c r="G44" s="1"/>
    </row>
    <row r="45" spans="3:7" ht="12.75">
      <c r="C45" s="3"/>
      <c r="D45" s="3"/>
      <c r="E45" s="2"/>
      <c r="G45" s="1"/>
    </row>
    <row r="46" spans="3:7" ht="12.75">
      <c r="C46" s="3"/>
      <c r="D46" s="3"/>
      <c r="E46" s="2"/>
      <c r="G46" s="1"/>
    </row>
    <row r="47" spans="3:7" ht="12.75">
      <c r="C47" s="3"/>
      <c r="D47" s="3"/>
      <c r="E47" s="2"/>
      <c r="G47" s="1"/>
    </row>
    <row r="48" spans="3:7" ht="12.75">
      <c r="C48" s="3"/>
      <c r="D48" s="3"/>
      <c r="E48" s="2"/>
      <c r="G48" s="1"/>
    </row>
    <row r="49" spans="3:7" ht="12.75">
      <c r="C49" s="3"/>
      <c r="D49" s="3"/>
      <c r="E49" s="2"/>
      <c r="G49" s="1"/>
    </row>
    <row r="50" spans="3:7" ht="12.75">
      <c r="C50" s="3"/>
      <c r="D50" s="3"/>
      <c r="E50" s="2"/>
      <c r="G50" s="1"/>
    </row>
    <row r="51" spans="3:7" ht="12.75">
      <c r="C51" s="3"/>
      <c r="D51" s="3"/>
      <c r="E51" s="2"/>
      <c r="G51" s="1"/>
    </row>
    <row r="52" spans="3:7" ht="12.75">
      <c r="C52" s="3"/>
      <c r="D52" s="3"/>
      <c r="E52" s="2"/>
      <c r="G52" s="1"/>
    </row>
    <row r="53" spans="3:7" ht="12.75">
      <c r="C53" s="3"/>
      <c r="D53" s="3"/>
      <c r="E53" s="2"/>
      <c r="G53" s="1"/>
    </row>
    <row r="54" spans="3:7" ht="12.75">
      <c r="C54" s="3"/>
      <c r="D54" s="3"/>
      <c r="E54" s="2"/>
      <c r="G54" s="1"/>
    </row>
    <row r="55" spans="3:7" ht="12.75">
      <c r="C55" s="3"/>
      <c r="D55" s="3"/>
      <c r="E55" s="2"/>
      <c r="G55" s="1"/>
    </row>
    <row r="56" spans="3:7" ht="12.75">
      <c r="C56" s="3"/>
      <c r="D56" s="3"/>
      <c r="E56" s="2"/>
      <c r="G56" s="1"/>
    </row>
    <row r="57" spans="3:7" ht="12.75">
      <c r="C57" s="3"/>
      <c r="D57" s="3"/>
      <c r="E57" s="2"/>
      <c r="G57" s="1"/>
    </row>
    <row r="58" spans="3:7" ht="12.75">
      <c r="C58" s="3"/>
      <c r="D58" s="3"/>
      <c r="E58" s="2"/>
      <c r="G58" s="1"/>
    </row>
    <row r="59" spans="3:7" ht="12.75">
      <c r="C59" s="3"/>
      <c r="D59" s="3"/>
      <c r="E59" s="2"/>
      <c r="G59" s="1"/>
    </row>
    <row r="60" spans="3:7" ht="12.75">
      <c r="C60" s="3"/>
      <c r="D60" s="3"/>
      <c r="E60" s="2"/>
      <c r="G60" s="1"/>
    </row>
    <row r="61" spans="3:7" ht="12.75">
      <c r="C61" s="3"/>
      <c r="D61" s="3"/>
      <c r="E61" s="2"/>
      <c r="G61" s="1"/>
    </row>
    <row r="62" spans="3:7" ht="12.75">
      <c r="C62" s="3"/>
      <c r="D62" s="3"/>
      <c r="E62" s="2"/>
      <c r="G62" s="1"/>
    </row>
    <row r="63" spans="3:7" ht="12.75">
      <c r="C63" s="3"/>
      <c r="D63" s="3"/>
      <c r="E63" s="2"/>
      <c r="G63" s="1"/>
    </row>
  </sheetData>
  <mergeCells count="9">
    <mergeCell ref="B2:E2"/>
    <mergeCell ref="B3:E3"/>
    <mergeCell ref="B4:E4"/>
    <mergeCell ref="B22:E22"/>
    <mergeCell ref="B11:E11"/>
    <mergeCell ref="B32:E32"/>
    <mergeCell ref="B6:E6"/>
    <mergeCell ref="B16:E16"/>
    <mergeCell ref="B27:E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M25" sqref="M25"/>
    </sheetView>
  </sheetViews>
  <sheetFormatPr defaultColWidth="9.140625" defaultRowHeight="12.75"/>
  <cols>
    <col min="2" max="2" width="11.00390625" style="0" customWidth="1"/>
    <col min="3" max="4" width="10.421875" style="0" customWidth="1"/>
    <col min="5" max="5" width="9.8515625" style="0" customWidth="1"/>
    <col min="6" max="6" width="11.00390625" style="59" hidden="1" customWidth="1"/>
    <col min="8" max="8" width="11.00390625" style="0" customWidth="1"/>
    <col min="9" max="10" width="10.421875" style="0" customWidth="1"/>
    <col min="11" max="11" width="9.8515625" style="0" customWidth="1"/>
    <col min="12" max="12" width="0" style="0" hidden="1" customWidth="1"/>
  </cols>
  <sheetData>
    <row r="1" spans="2:11" ht="15">
      <c r="B1" s="90" t="s">
        <v>78</v>
      </c>
      <c r="C1" s="90"/>
      <c r="D1" s="90"/>
      <c r="E1" s="90"/>
      <c r="H1" s="90" t="s">
        <v>79</v>
      </c>
      <c r="I1" s="90"/>
      <c r="J1" s="90"/>
      <c r="K1" s="90"/>
    </row>
    <row r="2" ht="13.5" thickBot="1"/>
    <row r="3" spans="2:11" ht="12.75">
      <c r="B3" s="78" t="s">
        <v>63</v>
      </c>
      <c r="C3" s="79"/>
      <c r="D3" s="79"/>
      <c r="E3" s="80"/>
      <c r="H3" s="78" t="s">
        <v>63</v>
      </c>
      <c r="I3" s="79"/>
      <c r="J3" s="79"/>
      <c r="K3" s="80"/>
    </row>
    <row r="4" spans="2:11" ht="12.75">
      <c r="B4" s="81" t="s">
        <v>26</v>
      </c>
      <c r="C4" s="82"/>
      <c r="D4" s="82"/>
      <c r="E4" s="83"/>
      <c r="H4" s="81" t="s">
        <v>26</v>
      </c>
      <c r="I4" s="82"/>
      <c r="J4" s="82"/>
      <c r="K4" s="83"/>
    </row>
    <row r="5" spans="2:11" ht="13.5" thickBot="1">
      <c r="B5" s="84" t="s">
        <v>27</v>
      </c>
      <c r="C5" s="85"/>
      <c r="D5" s="85"/>
      <c r="E5" s="86"/>
      <c r="H5" s="84" t="s">
        <v>27</v>
      </c>
      <c r="I5" s="85"/>
      <c r="J5" s="85"/>
      <c r="K5" s="86"/>
    </row>
    <row r="6" ht="13.5" thickBot="1"/>
    <row r="7" spans="2:11" ht="12.75">
      <c r="B7" s="75" t="s">
        <v>28</v>
      </c>
      <c r="C7" s="76"/>
      <c r="D7" s="76"/>
      <c r="E7" s="77"/>
      <c r="H7" s="75" t="s">
        <v>66</v>
      </c>
      <c r="I7" s="76"/>
      <c r="J7" s="76"/>
      <c r="K7" s="77"/>
    </row>
    <row r="8" spans="2:11" ht="12.75">
      <c r="B8" s="15" t="s">
        <v>36</v>
      </c>
      <c r="C8" s="13" t="s">
        <v>0</v>
      </c>
      <c r="D8" s="13" t="s">
        <v>1</v>
      </c>
      <c r="E8" s="16" t="s">
        <v>4</v>
      </c>
      <c r="H8" s="15" t="s">
        <v>65</v>
      </c>
      <c r="I8" s="13" t="s">
        <v>0</v>
      </c>
      <c r="J8" s="13" t="s">
        <v>1</v>
      </c>
      <c r="K8" s="16" t="s">
        <v>4</v>
      </c>
    </row>
    <row r="9" spans="2:12" ht="12.75">
      <c r="B9" s="29">
        <v>1</v>
      </c>
      <c r="C9" s="5">
        <v>0</v>
      </c>
      <c r="D9" s="30">
        <v>3.92</v>
      </c>
      <c r="E9" s="17">
        <v>0.95</v>
      </c>
      <c r="F9" s="59" t="str">
        <f>IF(AND(C9&lt;B9,B9&lt;D9),"OK","Data Error: Diff not in Interval")</f>
        <v>OK</v>
      </c>
      <c r="H9" s="29">
        <v>1.19</v>
      </c>
      <c r="I9" s="5">
        <v>1.04</v>
      </c>
      <c r="J9" s="30">
        <v>1.35</v>
      </c>
      <c r="K9" s="17">
        <v>0.9</v>
      </c>
      <c r="L9" s="59" t="str">
        <f>IF(AND(I9&lt;H9,H9&lt;J9),"OK","Data Error: Diff not in Interval")</f>
        <v>OK</v>
      </c>
    </row>
    <row r="10" spans="2:11" ht="12.75">
      <c r="B10" s="18">
        <f>B9</f>
        <v>1</v>
      </c>
      <c r="C10" s="14">
        <f>ABS(D9-C9)/(2*E10)</f>
        <v>1.0000189863765956</v>
      </c>
      <c r="D10" s="14"/>
      <c r="E10" s="19">
        <f>NORMSINV(1-(1-E9)/2)</f>
        <v>1.9599627874084047</v>
      </c>
      <c r="G10" s="58"/>
      <c r="H10" s="18">
        <f>LN(H9)</f>
        <v>0.17395330712343798</v>
      </c>
      <c r="I10" s="14">
        <f>ABS(LN(J9/I9))/(2*K10)</f>
        <v>0.0793030756708568</v>
      </c>
      <c r="J10" s="14"/>
      <c r="K10" s="19">
        <f>NORMSINV(1-(1-K9)/2)</f>
        <v>1.644853475669982</v>
      </c>
    </row>
    <row r="11" spans="2:14" ht="12.75">
      <c r="B11" s="18"/>
      <c r="C11" s="14"/>
      <c r="D11" s="14"/>
      <c r="E11" s="19"/>
      <c r="H11" s="18"/>
      <c r="I11" s="14"/>
      <c r="J11" s="14"/>
      <c r="K11" s="19"/>
      <c r="N11">
        <f>1-NORMSDIST(H10/I10)</f>
        <v>0.014134725235212309</v>
      </c>
    </row>
    <row r="12" spans="2:11" ht="12.75">
      <c r="B12" s="72" t="s">
        <v>6</v>
      </c>
      <c r="C12" s="73"/>
      <c r="D12" s="73"/>
      <c r="E12" s="74"/>
      <c r="H12" s="72" t="s">
        <v>6</v>
      </c>
      <c r="I12" s="73"/>
      <c r="J12" s="73"/>
      <c r="K12" s="74"/>
    </row>
    <row r="13" spans="2:11" ht="13.5" thickBot="1">
      <c r="B13" s="36" t="s">
        <v>48</v>
      </c>
      <c r="C13" s="49">
        <v>0</v>
      </c>
      <c r="D13" s="48" t="s">
        <v>3</v>
      </c>
      <c r="E13" s="50">
        <f>IF(F9="OK",NORMSDIST((C13-B10)/C10),"ERROR")</f>
        <v>0.15865985385527526</v>
      </c>
      <c r="H13" s="36" t="s">
        <v>67</v>
      </c>
      <c r="I13" s="49">
        <v>1.04</v>
      </c>
      <c r="J13" s="48" t="s">
        <v>3</v>
      </c>
      <c r="K13" s="50">
        <f>IF(L9="OK",NORMSDIST((LN(I13)-H10)/I10),"ERROR")</f>
        <v>0.044663519055828216</v>
      </c>
    </row>
    <row r="14" spans="2:11" ht="13.5" thickBot="1">
      <c r="B14" s="20" t="s">
        <v>5</v>
      </c>
      <c r="C14" s="21">
        <v>0</v>
      </c>
      <c r="D14" s="22" t="s">
        <v>3</v>
      </c>
      <c r="E14" s="38">
        <f>IF(F9="OK",1-NORMSDIST((C14-B10)/C10),"ERROR")</f>
        <v>0.8413401461447247</v>
      </c>
      <c r="H14" s="20" t="s">
        <v>68</v>
      </c>
      <c r="I14" s="21">
        <v>1.35</v>
      </c>
      <c r="J14" s="22" t="s">
        <v>3</v>
      </c>
      <c r="K14" s="38">
        <f>IF(L9="OK",1-NORMSDIST((LN(I14)-H10)/I10),"ERROR")</f>
        <v>0.055833042126496535</v>
      </c>
    </row>
    <row r="15" spans="2:11" ht="12.75">
      <c r="B15" s="1"/>
      <c r="C15" s="3"/>
      <c r="D15" s="3"/>
      <c r="E15" s="2"/>
      <c r="H15" s="1"/>
      <c r="I15" s="3"/>
      <c r="J15" s="3"/>
      <c r="K15" s="2"/>
    </row>
    <row r="16" spans="2:11" ht="13.5" thickBot="1">
      <c r="B16" s="1"/>
      <c r="C16" s="3"/>
      <c r="D16" s="3"/>
      <c r="E16" s="2"/>
      <c r="H16" s="1"/>
      <c r="I16" s="3"/>
      <c r="J16" s="3"/>
      <c r="K16" s="2"/>
    </row>
    <row r="17" spans="2:11" ht="12.75">
      <c r="B17" s="75" t="s">
        <v>29</v>
      </c>
      <c r="C17" s="76"/>
      <c r="D17" s="76"/>
      <c r="E17" s="77"/>
      <c r="H17" s="75" t="s">
        <v>69</v>
      </c>
      <c r="I17" s="76"/>
      <c r="J17" s="76"/>
      <c r="K17" s="77"/>
    </row>
    <row r="18" spans="2:11" ht="12.75">
      <c r="B18" s="15" t="s">
        <v>36</v>
      </c>
      <c r="C18" s="13" t="s">
        <v>19</v>
      </c>
      <c r="D18" s="13" t="s">
        <v>0</v>
      </c>
      <c r="E18" s="16" t="s">
        <v>1</v>
      </c>
      <c r="H18" s="15" t="s">
        <v>70</v>
      </c>
      <c r="I18" s="13" t="s">
        <v>19</v>
      </c>
      <c r="J18" s="13" t="s">
        <v>0</v>
      </c>
      <c r="K18" s="16" t="s">
        <v>1</v>
      </c>
    </row>
    <row r="19" spans="2:11" ht="12.75">
      <c r="B19" s="29">
        <v>394.8</v>
      </c>
      <c r="C19" s="30">
        <v>137.67</v>
      </c>
      <c r="D19" s="32">
        <f>B19-1.96*C19</f>
        <v>124.96680000000003</v>
      </c>
      <c r="E19" s="33">
        <f>B19+1.96*C19</f>
        <v>664.6332</v>
      </c>
      <c r="H19" s="29">
        <v>0.174</v>
      </c>
      <c r="I19" s="30">
        <v>0.0793</v>
      </c>
      <c r="J19" s="32">
        <f>EXP(H19-1.96*I19)</f>
        <v>1.018745532207369</v>
      </c>
      <c r="K19" s="33">
        <f>EXP(H19+1.96*I19)</f>
        <v>1.3901727222021767</v>
      </c>
    </row>
    <row r="20" spans="2:11" ht="12.75">
      <c r="B20" s="18"/>
      <c r="C20" s="14"/>
      <c r="D20" s="14"/>
      <c r="E20" s="19"/>
      <c r="H20" s="18"/>
      <c r="I20" s="14"/>
      <c r="J20" s="14"/>
      <c r="K20" s="19"/>
    </row>
    <row r="21" spans="2:11" ht="12.75">
      <c r="B21" s="72" t="s">
        <v>6</v>
      </c>
      <c r="C21" s="73"/>
      <c r="D21" s="73"/>
      <c r="E21" s="74"/>
      <c r="H21" s="72" t="s">
        <v>6</v>
      </c>
      <c r="I21" s="73"/>
      <c r="J21" s="73"/>
      <c r="K21" s="74"/>
    </row>
    <row r="22" spans="2:11" ht="12.75">
      <c r="B22" s="15" t="s">
        <v>48</v>
      </c>
      <c r="C22" s="51">
        <v>200</v>
      </c>
      <c r="D22" s="41" t="s">
        <v>3</v>
      </c>
      <c r="E22" s="57">
        <f>NORMSDIST((C22-B19)/C19)</f>
        <v>0.07853754484303832</v>
      </c>
      <c r="H22" s="15" t="s">
        <v>67</v>
      </c>
      <c r="I22" s="51">
        <v>1.09</v>
      </c>
      <c r="J22" s="41" t="s">
        <v>3</v>
      </c>
      <c r="K22" s="57">
        <f>NORMSDIST((LN(I22)-H19)/I19)</f>
        <v>0.13404561382904678</v>
      </c>
    </row>
    <row r="23" spans="2:11" ht="13.5" thickBot="1">
      <c r="B23" s="20" t="s">
        <v>5</v>
      </c>
      <c r="C23" s="49">
        <v>200</v>
      </c>
      <c r="D23" s="22" t="s">
        <v>3</v>
      </c>
      <c r="E23" s="31">
        <f>1-NORMSDIST((C23-B19)/C19)</f>
        <v>0.9214624551569617</v>
      </c>
      <c r="G23" t="s">
        <v>20</v>
      </c>
      <c r="H23" s="20" t="s">
        <v>68</v>
      </c>
      <c r="I23" s="49">
        <v>1.34</v>
      </c>
      <c r="J23" s="22" t="s">
        <v>3</v>
      </c>
      <c r="K23" s="31">
        <f>1-NORMSDIST((LN(I23)-H19)/I19)</f>
        <v>0.06726638893908499</v>
      </c>
    </row>
    <row r="24" spans="2:11" ht="12.75">
      <c r="B24" s="13"/>
      <c r="C24" s="26"/>
      <c r="D24" s="26"/>
      <c r="E24" s="46"/>
      <c r="H24" s="13"/>
      <c r="I24" s="26"/>
      <c r="J24" s="26"/>
      <c r="K24" s="46"/>
    </row>
    <row r="25" spans="2:11" ht="13.5" thickBot="1">
      <c r="B25" s="13"/>
      <c r="C25" s="26"/>
      <c r="D25" s="26"/>
      <c r="E25" s="46"/>
      <c r="H25" s="13"/>
      <c r="I25" s="26"/>
      <c r="J25" s="26"/>
      <c r="K25" s="46"/>
    </row>
    <row r="26" spans="2:11" ht="12.75">
      <c r="B26" s="75" t="s">
        <v>35</v>
      </c>
      <c r="C26" s="76"/>
      <c r="D26" s="76"/>
      <c r="E26" s="77"/>
      <c r="H26" s="75" t="s">
        <v>64</v>
      </c>
      <c r="I26" s="76"/>
      <c r="J26" s="76"/>
      <c r="K26" s="77"/>
    </row>
    <row r="27" spans="2:11" ht="12.75">
      <c r="B27" s="15" t="s">
        <v>36</v>
      </c>
      <c r="C27" s="13" t="s">
        <v>37</v>
      </c>
      <c r="D27" s="13" t="s">
        <v>0</v>
      </c>
      <c r="E27" s="16" t="s">
        <v>1</v>
      </c>
      <c r="H27" s="15" t="s">
        <v>65</v>
      </c>
      <c r="I27" s="13" t="s">
        <v>37</v>
      </c>
      <c r="J27" s="13" t="s">
        <v>0</v>
      </c>
      <c r="K27" s="16" t="s">
        <v>1</v>
      </c>
    </row>
    <row r="28" spans="2:11" ht="12.75">
      <c r="B28" s="29">
        <v>-1.96</v>
      </c>
      <c r="C28" s="30">
        <v>0.05</v>
      </c>
      <c r="D28" s="32">
        <f>B28-1.96*C29</f>
        <v>-3.9200372132981274</v>
      </c>
      <c r="E28" s="33">
        <f>B28+1.96*C29</f>
        <v>3.721329812744756E-05</v>
      </c>
      <c r="H28" s="29">
        <v>1.21</v>
      </c>
      <c r="I28" s="30">
        <v>0.028</v>
      </c>
      <c r="J28" s="32">
        <f>H28*EXP(-1.96*I29)</f>
        <v>1.0207984441588656</v>
      </c>
      <c r="K28" s="33">
        <f>H28+1.96*I29</f>
        <v>1.3800352501404651</v>
      </c>
    </row>
    <row r="29" spans="2:11" ht="12.75" hidden="1">
      <c r="B29" s="36"/>
      <c r="C29" s="27">
        <f>ABS(B28)/NORMSINV(1-C28/2)</f>
        <v>1.0000189863765956</v>
      </c>
      <c r="D29" s="26"/>
      <c r="E29" s="28"/>
      <c r="H29" s="36"/>
      <c r="I29" s="27">
        <f>ABS(LN(H28))/NORMSINV(1-(I28/2))</f>
        <v>0.08675267864309444</v>
      </c>
      <c r="J29" s="26"/>
      <c r="K29" s="28"/>
    </row>
    <row r="30" spans="2:11" ht="12.75">
      <c r="B30" s="18"/>
      <c r="C30" s="14"/>
      <c r="D30" s="14"/>
      <c r="E30" s="19"/>
      <c r="H30" s="18"/>
      <c r="I30" s="14"/>
      <c r="J30" s="14"/>
      <c r="K30" s="19"/>
    </row>
    <row r="31" spans="2:11" ht="12.75">
      <c r="B31" s="72" t="s">
        <v>6</v>
      </c>
      <c r="C31" s="73"/>
      <c r="D31" s="73"/>
      <c r="E31" s="74"/>
      <c r="H31" s="72" t="s">
        <v>6</v>
      </c>
      <c r="I31" s="73"/>
      <c r="J31" s="73"/>
      <c r="K31" s="74"/>
    </row>
    <row r="32" spans="2:11" ht="12.75">
      <c r="B32" s="15" t="s">
        <v>5</v>
      </c>
      <c r="C32" s="51">
        <v>0</v>
      </c>
      <c r="D32" s="41" t="s">
        <v>3</v>
      </c>
      <c r="E32" s="57">
        <f>NORMSDIST((C32-B28)/C29)</f>
        <v>0.975</v>
      </c>
      <c r="H32" s="15" t="s">
        <v>68</v>
      </c>
      <c r="I32" s="51">
        <v>1</v>
      </c>
      <c r="J32" s="41" t="s">
        <v>3</v>
      </c>
      <c r="K32" s="57">
        <f>NORMSDIST((LN(I32/H28))/I29)</f>
        <v>0.014000000000000012</v>
      </c>
    </row>
    <row r="33" spans="2:11" ht="13.5" thickBot="1">
      <c r="B33" s="20" t="s">
        <v>5</v>
      </c>
      <c r="C33" s="49">
        <v>0</v>
      </c>
      <c r="D33" s="22" t="s">
        <v>3</v>
      </c>
      <c r="E33" s="31">
        <f>1-NORMSDIST((C33-B28)/C29)</f>
        <v>0.025000000000000022</v>
      </c>
      <c r="H33" s="20" t="s">
        <v>71</v>
      </c>
      <c r="I33" s="49">
        <v>1</v>
      </c>
      <c r="J33" s="22" t="s">
        <v>3</v>
      </c>
      <c r="K33" s="31">
        <f>1-NORMSDIST((LN(I33/H28))/I29)</f>
        <v>0.986</v>
      </c>
    </row>
    <row r="34" spans="2:11" ht="12.75">
      <c r="B34" s="13"/>
      <c r="C34" s="26"/>
      <c r="D34" s="41"/>
      <c r="E34" s="46"/>
      <c r="H34" s="13"/>
      <c r="I34" s="26"/>
      <c r="J34" s="41"/>
      <c r="K34" s="46"/>
    </row>
    <row r="35" spans="1:11" ht="13.5" thickBot="1">
      <c r="A35" s="14"/>
      <c r="B35" s="13"/>
      <c r="C35" s="26"/>
      <c r="D35" s="26"/>
      <c r="E35" s="46"/>
      <c r="F35" s="60"/>
      <c r="H35" s="13"/>
      <c r="I35" s="26"/>
      <c r="J35" s="26"/>
      <c r="K35" s="46"/>
    </row>
    <row r="36" spans="2:11" ht="12.75">
      <c r="B36" s="91" t="s">
        <v>38</v>
      </c>
      <c r="C36" s="76"/>
      <c r="D36" s="76"/>
      <c r="E36" s="77"/>
      <c r="H36" s="91" t="s">
        <v>77</v>
      </c>
      <c r="I36" s="76"/>
      <c r="J36" s="76"/>
      <c r="K36" s="77"/>
    </row>
    <row r="37" spans="2:11" ht="12.75">
      <c r="B37" s="25" t="s">
        <v>21</v>
      </c>
      <c r="C37" s="13" t="s">
        <v>23</v>
      </c>
      <c r="D37" s="13"/>
      <c r="E37" s="16"/>
      <c r="H37" s="25" t="s">
        <v>21</v>
      </c>
      <c r="I37" s="13" t="s">
        <v>23</v>
      </c>
      <c r="J37" s="13"/>
      <c r="K37" s="16"/>
    </row>
    <row r="38" spans="2:11" ht="12.75">
      <c r="B38" s="29">
        <v>0.034</v>
      </c>
      <c r="C38" s="30" t="s">
        <v>24</v>
      </c>
      <c r="D38" s="26"/>
      <c r="E38" s="28"/>
      <c r="H38" s="29">
        <v>0.034</v>
      </c>
      <c r="I38" s="30" t="s">
        <v>24</v>
      </c>
      <c r="J38" s="26"/>
      <c r="K38" s="28"/>
    </row>
    <row r="39" spans="2:11" ht="12.75">
      <c r="B39" s="18"/>
      <c r="C39" s="14"/>
      <c r="D39" s="14"/>
      <c r="E39" s="19"/>
      <c r="H39" s="18"/>
      <c r="I39" s="14"/>
      <c r="J39" s="14"/>
      <c r="K39" s="19"/>
    </row>
    <row r="40" spans="2:11" ht="12.75">
      <c r="B40" s="72" t="s">
        <v>6</v>
      </c>
      <c r="C40" s="73"/>
      <c r="D40" s="73"/>
      <c r="E40" s="74"/>
      <c r="H40" s="72" t="s">
        <v>6</v>
      </c>
      <c r="I40" s="73"/>
      <c r="J40" s="73"/>
      <c r="K40" s="74"/>
    </row>
    <row r="41" spans="2:11" ht="12.75">
      <c r="B41" s="15" t="s">
        <v>48</v>
      </c>
      <c r="C41" s="44">
        <v>0</v>
      </c>
      <c r="D41" s="41" t="s">
        <v>3</v>
      </c>
      <c r="E41" s="57">
        <f>IF(C38="-",1-B38/2,B38/2)</f>
        <v>0.017</v>
      </c>
      <c r="H41" s="15" t="s">
        <v>67</v>
      </c>
      <c r="I41" s="44">
        <v>1</v>
      </c>
      <c r="J41" s="41" t="s">
        <v>3</v>
      </c>
      <c r="K41" s="57">
        <f>IF(I38="-",1-H38/2,H38/2)</f>
        <v>0.017</v>
      </c>
    </row>
    <row r="42" spans="2:11" ht="13.5" thickBot="1">
      <c r="B42" s="20" t="s">
        <v>5</v>
      </c>
      <c r="C42" s="34">
        <v>0</v>
      </c>
      <c r="D42" s="22" t="s">
        <v>3</v>
      </c>
      <c r="E42" s="31">
        <f>IF(C38="+",1-B38/2,B38/2)</f>
        <v>0.983</v>
      </c>
      <c r="H42" s="20" t="s">
        <v>68</v>
      </c>
      <c r="I42" s="34">
        <v>1</v>
      </c>
      <c r="J42" s="22" t="s">
        <v>3</v>
      </c>
      <c r="K42" s="31">
        <f>IF(I38="+",1-H38/2,H38/2)</f>
        <v>0.983</v>
      </c>
    </row>
    <row r="43" spans="2:11" ht="13.5" thickBot="1">
      <c r="B43" s="1"/>
      <c r="C43" s="3"/>
      <c r="D43" s="3"/>
      <c r="E43" s="2"/>
      <c r="H43" s="1"/>
      <c r="I43" s="3"/>
      <c r="J43" s="3"/>
      <c r="K43" s="2"/>
    </row>
    <row r="44" spans="2:11" ht="12.75">
      <c r="B44" s="75" t="s">
        <v>62</v>
      </c>
      <c r="C44" s="76"/>
      <c r="D44" s="76"/>
      <c r="E44" s="77"/>
      <c r="H44" s="75" t="s">
        <v>72</v>
      </c>
      <c r="I44" s="76"/>
      <c r="J44" s="76"/>
      <c r="K44" s="77"/>
    </row>
    <row r="45" spans="2:11" ht="12.75">
      <c r="B45" s="36" t="s">
        <v>50</v>
      </c>
      <c r="C45" s="27" t="s">
        <v>51</v>
      </c>
      <c r="D45" s="27" t="s">
        <v>52</v>
      </c>
      <c r="E45" s="37" t="s">
        <v>53</v>
      </c>
      <c r="H45" s="36" t="s">
        <v>73</v>
      </c>
      <c r="I45" s="27" t="s">
        <v>74</v>
      </c>
      <c r="J45" s="27" t="s">
        <v>75</v>
      </c>
      <c r="K45" s="37" t="s">
        <v>76</v>
      </c>
    </row>
    <row r="46" spans="2:11" ht="12.75">
      <c r="B46" s="64">
        <v>420</v>
      </c>
      <c r="C46" s="65">
        <v>33</v>
      </c>
      <c r="D46" s="65">
        <v>357</v>
      </c>
      <c r="E46" s="66">
        <v>40</v>
      </c>
      <c r="H46" s="69">
        <v>30000</v>
      </c>
      <c r="I46" s="70">
        <v>30</v>
      </c>
      <c r="J46" s="70">
        <v>50000</v>
      </c>
      <c r="K46" s="71">
        <v>30</v>
      </c>
    </row>
    <row r="47" spans="2:11" ht="12.75">
      <c r="B47" s="15" t="s">
        <v>36</v>
      </c>
      <c r="C47" s="13" t="s">
        <v>0</v>
      </c>
      <c r="D47" s="13" t="s">
        <v>1</v>
      </c>
      <c r="E47" s="16" t="s">
        <v>4</v>
      </c>
      <c r="H47" s="15" t="s">
        <v>33</v>
      </c>
      <c r="I47" s="13" t="s">
        <v>0</v>
      </c>
      <c r="J47" s="13" t="s">
        <v>1</v>
      </c>
      <c r="K47" s="16" t="s">
        <v>4</v>
      </c>
    </row>
    <row r="48" spans="2:11" ht="12.75">
      <c r="B48" s="61">
        <f>B46-D46</f>
        <v>63</v>
      </c>
      <c r="C48" s="40">
        <f>B48-E49*C49</f>
        <v>-38.63498487362101</v>
      </c>
      <c r="D48" s="40">
        <f>B48+E49*C49</f>
        <v>164.63498487362102</v>
      </c>
      <c r="E48" s="67">
        <v>0.95</v>
      </c>
      <c r="H48" s="61">
        <f>I46/(H46-I46)/(K46/(J46-K46))</f>
        <v>1.6673340006673338</v>
      </c>
      <c r="I48" s="40">
        <f>EXP(H49-K49*I49)</f>
        <v>1.0049755095525834</v>
      </c>
      <c r="J48" s="40">
        <f>EXP(H49+K49*I49)</f>
        <v>2.766239220116914</v>
      </c>
      <c r="K48" s="67">
        <v>0.95</v>
      </c>
    </row>
    <row r="49" spans="2:11" ht="12.75" hidden="1">
      <c r="B49" s="18">
        <f>B48</f>
        <v>63</v>
      </c>
      <c r="C49" s="14">
        <f>SQRT(C46^2+E46^2)</f>
        <v>51.85556864985669</v>
      </c>
      <c r="D49" s="14"/>
      <c r="E49" s="19">
        <f>NORMSINV(1-(1-E48)/2)</f>
        <v>1.9599627874084047</v>
      </c>
      <c r="H49" s="18">
        <f>LN(H48)</f>
        <v>0.5112259440275417</v>
      </c>
      <c r="I49" s="14">
        <f>SQRT(1/I46+1/(H46-I46)+1/K46+1/(J46-K46))</f>
        <v>0.2583022364864547</v>
      </c>
      <c r="J49" s="14"/>
      <c r="K49" s="19">
        <f>NORMSINV(1-(1-K48)/2)</f>
        <v>1.9599627874084047</v>
      </c>
    </row>
    <row r="50" spans="2:11" ht="12.75">
      <c r="B50" s="18"/>
      <c r="C50" s="14"/>
      <c r="D50" s="14"/>
      <c r="E50" s="19"/>
      <c r="H50" s="18"/>
      <c r="I50" s="14"/>
      <c r="J50" s="14"/>
      <c r="K50" s="19"/>
    </row>
    <row r="51" spans="2:11" ht="12.75">
      <c r="B51" s="87" t="s">
        <v>6</v>
      </c>
      <c r="C51" s="88"/>
      <c r="D51" s="88"/>
      <c r="E51" s="89"/>
      <c r="H51" s="87" t="s">
        <v>6</v>
      </c>
      <c r="I51" s="88"/>
      <c r="J51" s="88"/>
      <c r="K51" s="89"/>
    </row>
    <row r="52" spans="2:11" ht="12.75">
      <c r="B52" s="36" t="s">
        <v>48</v>
      </c>
      <c r="C52" s="68">
        <v>0</v>
      </c>
      <c r="D52" s="27" t="s">
        <v>3</v>
      </c>
      <c r="E52" s="50">
        <f>NORMSDIST((C52-B49)/C49)</f>
        <v>0.11219971710943921</v>
      </c>
      <c r="H52" s="36" t="s">
        <v>67</v>
      </c>
      <c r="I52" s="68">
        <v>1.5</v>
      </c>
      <c r="J52" s="27" t="s">
        <v>3</v>
      </c>
      <c r="K52" s="50">
        <f>NORMSDIST((LN(I52)-H49)/I49)</f>
        <v>0.3411062086722595</v>
      </c>
    </row>
    <row r="53" spans="2:11" ht="13.5" thickBot="1">
      <c r="B53" s="20" t="s">
        <v>5</v>
      </c>
      <c r="C53" s="21">
        <v>0</v>
      </c>
      <c r="D53" s="22" t="s">
        <v>3</v>
      </c>
      <c r="E53" s="38">
        <f>1-NORMSDIST((C53-B49)/C49)</f>
        <v>0.8878002828905608</v>
      </c>
      <c r="H53" s="20" t="s">
        <v>71</v>
      </c>
      <c r="I53" s="21">
        <v>1</v>
      </c>
      <c r="J53" s="22" t="s">
        <v>3</v>
      </c>
      <c r="K53" s="38">
        <f>1-NORMSDIST((LN(I53)-H49)/I49)</f>
        <v>0.9761020508509403</v>
      </c>
    </row>
    <row r="54" spans="2:11" ht="12.75">
      <c r="B54" s="1"/>
      <c r="C54" s="3"/>
      <c r="D54" s="3"/>
      <c r="E54" s="2"/>
      <c r="H54" s="1"/>
      <c r="I54" s="3"/>
      <c r="J54" s="3"/>
      <c r="K54" s="2"/>
    </row>
    <row r="55" spans="2:11" ht="12.75">
      <c r="B55" s="1"/>
      <c r="C55" s="3"/>
      <c r="D55" s="3"/>
      <c r="E55" s="2"/>
      <c r="H55" s="1"/>
      <c r="I55" s="3"/>
      <c r="J55" s="3"/>
      <c r="K55" s="2"/>
    </row>
    <row r="56" spans="2:11" ht="12.75">
      <c r="B56" s="1"/>
      <c r="C56" s="3"/>
      <c r="D56" s="3"/>
      <c r="E56" s="2"/>
      <c r="H56" s="1"/>
      <c r="I56" s="3"/>
      <c r="J56" s="3"/>
      <c r="K56" s="2"/>
    </row>
    <row r="57" spans="2:11" ht="12.75">
      <c r="B57" s="1"/>
      <c r="C57" s="3"/>
      <c r="D57" s="3"/>
      <c r="E57" s="2"/>
      <c r="H57" s="1"/>
      <c r="I57" s="3"/>
      <c r="J57" s="3"/>
      <c r="K57" s="2"/>
    </row>
    <row r="58" spans="2:11" ht="12.75">
      <c r="B58" s="1"/>
      <c r="C58" s="3"/>
      <c r="D58" s="3"/>
      <c r="E58" s="2"/>
      <c r="H58" s="1"/>
      <c r="I58" s="3"/>
      <c r="J58" s="3"/>
      <c r="K58" s="2"/>
    </row>
    <row r="59" spans="2:11" ht="12.75">
      <c r="B59" s="1"/>
      <c r="C59" s="3"/>
      <c r="D59" s="3"/>
      <c r="E59" s="2"/>
      <c r="H59" s="1"/>
      <c r="I59" s="3"/>
      <c r="J59" s="3"/>
      <c r="K59" s="2"/>
    </row>
    <row r="60" spans="2:11" ht="12.75">
      <c r="B60" s="1"/>
      <c r="C60" s="3"/>
      <c r="D60" s="3"/>
      <c r="E60" s="2"/>
      <c r="H60" s="1"/>
      <c r="I60" s="3"/>
      <c r="J60" s="3"/>
      <c r="K60" s="2"/>
    </row>
    <row r="61" spans="2:11" ht="12.75">
      <c r="B61" s="1"/>
      <c r="C61" s="3"/>
      <c r="D61" s="3"/>
      <c r="E61" s="2"/>
      <c r="H61" s="1"/>
      <c r="I61" s="3"/>
      <c r="J61" s="3"/>
      <c r="K61" s="2"/>
    </row>
    <row r="62" spans="2:11" ht="12.75">
      <c r="B62" s="1"/>
      <c r="C62" s="3"/>
      <c r="D62" s="3"/>
      <c r="E62" s="2"/>
      <c r="H62" s="1"/>
      <c r="I62" s="3"/>
      <c r="J62" s="3"/>
      <c r="K62" s="2"/>
    </row>
    <row r="63" spans="2:11" ht="12.75">
      <c r="B63" s="1"/>
      <c r="C63" s="3"/>
      <c r="D63" s="3"/>
      <c r="E63" s="2"/>
      <c r="H63" s="1"/>
      <c r="I63" s="3"/>
      <c r="J63" s="3"/>
      <c r="K63" s="2"/>
    </row>
    <row r="64" spans="2:11" ht="12.75">
      <c r="B64" s="1"/>
      <c r="C64" s="3"/>
      <c r="D64" s="3"/>
      <c r="E64" s="2"/>
      <c r="H64" s="1"/>
      <c r="I64" s="3"/>
      <c r="J64" s="3"/>
      <c r="K64" s="2"/>
    </row>
    <row r="65" spans="2:11" ht="12.75">
      <c r="B65" s="1"/>
      <c r="C65" s="3"/>
      <c r="D65" s="3"/>
      <c r="E65" s="2"/>
      <c r="H65" s="1"/>
      <c r="I65" s="3"/>
      <c r="J65" s="3"/>
      <c r="K65" s="2"/>
    </row>
    <row r="66" spans="2:11" ht="12.75">
      <c r="B66" s="1"/>
      <c r="C66" s="3"/>
      <c r="D66" s="3"/>
      <c r="E66" s="2"/>
      <c r="H66" s="1"/>
      <c r="I66" s="3"/>
      <c r="J66" s="3"/>
      <c r="K66" s="2"/>
    </row>
  </sheetData>
  <mergeCells count="28">
    <mergeCell ref="B44:E44"/>
    <mergeCell ref="B51:E51"/>
    <mergeCell ref="B3:E3"/>
    <mergeCell ref="B4:E4"/>
    <mergeCell ref="B5:E5"/>
    <mergeCell ref="B26:E26"/>
    <mergeCell ref="B7:E7"/>
    <mergeCell ref="B12:E12"/>
    <mergeCell ref="B17:E17"/>
    <mergeCell ref="B21:E21"/>
    <mergeCell ref="B31:E31"/>
    <mergeCell ref="H3:K3"/>
    <mergeCell ref="H4:K4"/>
    <mergeCell ref="H5:K5"/>
    <mergeCell ref="H7:K7"/>
    <mergeCell ref="H12:K12"/>
    <mergeCell ref="H17:K17"/>
    <mergeCell ref="H21:K21"/>
    <mergeCell ref="H44:K44"/>
    <mergeCell ref="H51:K51"/>
    <mergeCell ref="B1:E1"/>
    <mergeCell ref="H1:K1"/>
    <mergeCell ref="H26:K26"/>
    <mergeCell ref="H31:K31"/>
    <mergeCell ref="H36:K36"/>
    <mergeCell ref="H40:K40"/>
    <mergeCell ref="B36:E36"/>
    <mergeCell ref="B40:E4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ySplit="1" topLeftCell="BM11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27.00390625" style="0" customWidth="1"/>
    <col min="6" max="6" width="14.421875" style="0" customWidth="1"/>
    <col min="7" max="7" width="9.140625" style="1" customWidth="1"/>
  </cols>
  <sheetData>
    <row r="1" spans="1:7" ht="15.75">
      <c r="A1" s="8" t="s">
        <v>7</v>
      </c>
      <c r="B1" s="4" t="s">
        <v>33</v>
      </c>
      <c r="C1" s="9" t="s">
        <v>39</v>
      </c>
      <c r="D1" s="9" t="s">
        <v>40</v>
      </c>
      <c r="E1" s="10" t="s">
        <v>41</v>
      </c>
      <c r="F1" s="4" t="s">
        <v>42</v>
      </c>
      <c r="G1" s="4" t="s">
        <v>13</v>
      </c>
    </row>
    <row r="2" spans="1:6" ht="12.75">
      <c r="A2" s="94" t="s">
        <v>43</v>
      </c>
      <c r="B2" s="94"/>
      <c r="C2" s="3"/>
      <c r="D2" s="3"/>
      <c r="E2" s="2"/>
      <c r="F2" s="1" t="s">
        <v>20</v>
      </c>
    </row>
    <row r="3" spans="1:6" ht="12.75">
      <c r="A3" s="6" t="s">
        <v>8</v>
      </c>
      <c r="B3" s="7">
        <v>1.19</v>
      </c>
      <c r="C3" s="7">
        <v>1.05</v>
      </c>
      <c r="D3" s="7">
        <v>1.35</v>
      </c>
      <c r="E3" s="3">
        <v>0.9</v>
      </c>
      <c r="F3" s="1"/>
    </row>
    <row r="4" spans="1:6" ht="12.75">
      <c r="A4" s="6" t="s">
        <v>9</v>
      </c>
      <c r="B4" s="7">
        <v>1.176</v>
      </c>
      <c r="C4" s="7">
        <v>1.002</v>
      </c>
      <c r="D4" s="7">
        <v>1.381</v>
      </c>
      <c r="E4" s="3">
        <v>0.9</v>
      </c>
      <c r="F4" s="1"/>
    </row>
    <row r="5" spans="1:6" ht="12.75">
      <c r="A5" s="95" t="s">
        <v>44</v>
      </c>
      <c r="B5" s="95"/>
      <c r="C5" s="3"/>
      <c r="D5" s="3"/>
      <c r="E5" s="2"/>
      <c r="F5" s="1"/>
    </row>
    <row r="6" spans="1:6" ht="12.75">
      <c r="A6" s="11" t="s">
        <v>10</v>
      </c>
      <c r="B6" s="1"/>
      <c r="C6" s="3"/>
      <c r="D6" s="3"/>
      <c r="E6" s="2"/>
      <c r="F6" s="1"/>
    </row>
    <row r="7" spans="1:7" ht="12.75">
      <c r="A7" s="6" t="s">
        <v>16</v>
      </c>
      <c r="B7" s="7" t="s">
        <v>20</v>
      </c>
      <c r="C7" s="7" t="s">
        <v>20</v>
      </c>
      <c r="D7" s="7" t="s">
        <v>20</v>
      </c>
      <c r="E7" s="3" t="s">
        <v>20</v>
      </c>
      <c r="F7" s="7">
        <v>1.97</v>
      </c>
      <c r="G7" s="7">
        <v>0.366</v>
      </c>
    </row>
    <row r="8" spans="1:9" ht="12.75">
      <c r="A8" s="6" t="s">
        <v>18</v>
      </c>
      <c r="B8" s="7"/>
      <c r="C8" s="7"/>
      <c r="D8" s="7"/>
      <c r="E8" s="3"/>
      <c r="F8" s="7">
        <v>1.447</v>
      </c>
      <c r="G8" s="7">
        <v>0.48</v>
      </c>
      <c r="I8" s="7"/>
    </row>
    <row r="9" spans="1:9" ht="12.75">
      <c r="A9" s="6" t="s">
        <v>14</v>
      </c>
      <c r="B9" s="7"/>
      <c r="C9" s="7"/>
      <c r="D9" s="7"/>
      <c r="E9" s="3"/>
      <c r="F9" s="7">
        <v>1.145</v>
      </c>
      <c r="G9" s="7">
        <v>0.3445</v>
      </c>
      <c r="I9" s="7"/>
    </row>
    <row r="10" spans="1:9" ht="12.75">
      <c r="A10" s="6" t="s">
        <v>15</v>
      </c>
      <c r="B10" s="7"/>
      <c r="C10" s="7"/>
      <c r="D10" s="7"/>
      <c r="E10" s="3"/>
      <c r="F10" s="7">
        <v>0.7954</v>
      </c>
      <c r="G10" s="7">
        <v>0.345</v>
      </c>
      <c r="I10" s="7"/>
    </row>
    <row r="11" spans="1:9" ht="12.75">
      <c r="A11" s="6" t="s">
        <v>17</v>
      </c>
      <c r="B11" s="7"/>
      <c r="C11" s="7"/>
      <c r="D11" s="7"/>
      <c r="E11" s="3"/>
      <c r="F11" s="7">
        <v>0.8945</v>
      </c>
      <c r="G11" s="7">
        <v>0.5044</v>
      </c>
      <c r="I11" s="7"/>
    </row>
    <row r="12" spans="1:7" ht="12.75">
      <c r="A12" s="6"/>
      <c r="B12" s="7"/>
      <c r="C12" s="7"/>
      <c r="D12" s="7"/>
      <c r="E12" s="3"/>
      <c r="F12" s="7"/>
      <c r="G12" s="7"/>
    </row>
    <row r="13" spans="1:8" ht="12.75">
      <c r="A13" s="12" t="s">
        <v>11</v>
      </c>
      <c r="B13" s="7"/>
      <c r="C13" s="7"/>
      <c r="D13" s="7"/>
      <c r="E13" s="3"/>
      <c r="F13" s="7">
        <v>1.56</v>
      </c>
      <c r="G13" s="7">
        <v>0.331</v>
      </c>
      <c r="H13" t="s">
        <v>20</v>
      </c>
    </row>
    <row r="14" spans="1:8" ht="12.75">
      <c r="A14" s="12" t="s">
        <v>12</v>
      </c>
      <c r="B14" s="7"/>
      <c r="C14" s="7"/>
      <c r="D14" s="7"/>
      <c r="E14" s="3"/>
      <c r="F14" s="7">
        <v>1.38</v>
      </c>
      <c r="G14" s="7">
        <v>0.418</v>
      </c>
      <c r="H14" t="s">
        <v>20</v>
      </c>
    </row>
    <row r="15" spans="1:8" ht="12.75">
      <c r="A15" s="12" t="s">
        <v>46</v>
      </c>
      <c r="B15" s="7"/>
      <c r="C15" s="7"/>
      <c r="D15" s="7"/>
      <c r="E15" s="3"/>
      <c r="F15" s="7">
        <v>1.13</v>
      </c>
      <c r="G15" s="7">
        <v>0.826</v>
      </c>
      <c r="H15" t="s">
        <v>20</v>
      </c>
    </row>
    <row r="16" spans="6:7" ht="12.75">
      <c r="F16" s="47"/>
      <c r="G16" s="7"/>
    </row>
    <row r="17" spans="1:7" ht="12.75">
      <c r="A17" s="95" t="s">
        <v>45</v>
      </c>
      <c r="B17" s="95"/>
      <c r="C17" s="3"/>
      <c r="D17" s="3"/>
      <c r="E17" s="2"/>
      <c r="F17" s="7"/>
      <c r="G17" s="7"/>
    </row>
    <row r="18" spans="1:7" ht="12.75">
      <c r="A18" s="11" t="s">
        <v>10</v>
      </c>
      <c r="B18" s="1"/>
      <c r="C18" s="3"/>
      <c r="D18" s="3"/>
      <c r="E18" s="2"/>
      <c r="F18" s="7"/>
      <c r="G18" s="7"/>
    </row>
    <row r="19" spans="1:7" ht="12.75">
      <c r="A19" s="6" t="s">
        <v>18</v>
      </c>
      <c r="B19" s="7"/>
      <c r="C19" s="7"/>
      <c r="D19" s="7"/>
      <c r="E19" s="3"/>
      <c r="F19" s="7">
        <v>-0.0638</v>
      </c>
      <c r="G19" s="7">
        <v>0.6055</v>
      </c>
    </row>
    <row r="20" spans="1:7" ht="12.75">
      <c r="A20" s="6" t="s">
        <v>14</v>
      </c>
      <c r="B20" s="7"/>
      <c r="C20" s="7"/>
      <c r="D20" s="7"/>
      <c r="E20" s="3"/>
      <c r="F20" s="7">
        <v>0.1494</v>
      </c>
      <c r="G20" s="7">
        <v>0.3426</v>
      </c>
    </row>
    <row r="21" spans="1:7" ht="12.75">
      <c r="A21" s="6" t="s">
        <v>15</v>
      </c>
      <c r="B21" s="7"/>
      <c r="C21" s="7"/>
      <c r="D21" s="7"/>
      <c r="E21" s="3"/>
      <c r="F21" s="7">
        <v>0.0929</v>
      </c>
      <c r="G21" s="7">
        <v>0.3206</v>
      </c>
    </row>
    <row r="22" spans="1:7" ht="12.75">
      <c r="A22" s="6" t="s">
        <v>17</v>
      </c>
      <c r="B22" s="7"/>
      <c r="C22" s="7"/>
      <c r="D22" s="7"/>
      <c r="E22" s="3"/>
      <c r="F22" s="7">
        <v>0.34</v>
      </c>
      <c r="G22" s="7">
        <v>0.5044</v>
      </c>
    </row>
    <row r="23" spans="1:6" ht="12.75">
      <c r="A23" s="6"/>
      <c r="B23" s="7"/>
      <c r="C23" s="7"/>
      <c r="D23" s="7"/>
      <c r="E23" s="3"/>
      <c r="F23" s="1"/>
    </row>
    <row r="24" spans="1:7" ht="12.75">
      <c r="A24" s="12" t="s">
        <v>54</v>
      </c>
      <c r="B24" s="92" t="s">
        <v>55</v>
      </c>
      <c r="C24" s="92"/>
      <c r="D24" s="92" t="s">
        <v>57</v>
      </c>
      <c r="E24" s="92"/>
      <c r="F24" s="93" t="s">
        <v>58</v>
      </c>
      <c r="G24" s="93"/>
    </row>
    <row r="25" spans="1:7" ht="12.75">
      <c r="A25" s="12"/>
      <c r="B25" s="7" t="s">
        <v>59</v>
      </c>
      <c r="C25" s="7" t="s">
        <v>61</v>
      </c>
      <c r="D25" s="7" t="s">
        <v>60</v>
      </c>
      <c r="E25" s="3" t="s">
        <v>61</v>
      </c>
      <c r="F25" s="1" t="s">
        <v>60</v>
      </c>
      <c r="G25" s="1" t="s">
        <v>61</v>
      </c>
    </row>
    <row r="26" spans="1:7" ht="12.75">
      <c r="A26" s="62" t="s">
        <v>56</v>
      </c>
      <c r="B26" s="63">
        <v>420</v>
      </c>
      <c r="C26" s="63">
        <v>33</v>
      </c>
      <c r="D26" s="63">
        <v>357</v>
      </c>
      <c r="E26" s="63">
        <v>40</v>
      </c>
      <c r="F26" s="63">
        <v>625</v>
      </c>
      <c r="G26" s="63">
        <v>46</v>
      </c>
    </row>
  </sheetData>
  <mergeCells count="6">
    <mergeCell ref="D24:E24"/>
    <mergeCell ref="F24:G24"/>
    <mergeCell ref="A2:B2"/>
    <mergeCell ref="A5:B5"/>
    <mergeCell ref="A17:B17"/>
    <mergeCell ref="B24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Woodworth</dc:creator>
  <cp:keywords/>
  <dc:description/>
  <cp:lastModifiedBy>George Woodworth</cp:lastModifiedBy>
  <dcterms:created xsi:type="dcterms:W3CDTF">2003-03-26T20:25:41Z</dcterms:created>
  <dcterms:modified xsi:type="dcterms:W3CDTF">2004-04-01T18:57:29Z</dcterms:modified>
  <cp:category/>
  <cp:version/>
  <cp:contentType/>
  <cp:contentStatus/>
</cp:coreProperties>
</file>